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25" yWindow="-15" windowWidth="11550" windowHeight="5655"/>
  </bookViews>
  <sheets>
    <sheet name="TPEG" sheetId="1" r:id="rId1"/>
  </sheets>
  <definedNames>
    <definedName name="_xlnm.Print_Area" localSheetId="0">TPEG!$A$1:$J$44</definedName>
  </definedNames>
  <calcPr calcId="145621"/>
</workbook>
</file>

<file path=xl/calcChain.xml><?xml version="1.0" encoding="utf-8"?>
<calcChain xmlns="http://schemas.openxmlformats.org/spreadsheetml/2006/main">
  <c r="E34" i="1" l="1"/>
  <c r="E33" i="1"/>
  <c r="E17" i="1"/>
  <c r="E16" i="1"/>
  <c r="E32" i="1" l="1"/>
  <c r="E15" i="1"/>
  <c r="F26" i="1" l="1"/>
  <c r="F25" i="1"/>
  <c r="F24" i="1"/>
  <c r="F34" i="1"/>
  <c r="F33" i="1"/>
  <c r="F32" i="1"/>
  <c r="G9" i="1" l="1"/>
  <c r="I9" i="1" s="1"/>
  <c r="G15" i="1" l="1"/>
  <c r="G8" i="1" l="1"/>
  <c r="M36" i="1" l="1"/>
  <c r="M28" i="1"/>
  <c r="M19" i="1"/>
  <c r="M12" i="1"/>
  <c r="E11" i="1"/>
  <c r="H35" i="1"/>
  <c r="H27" i="1"/>
  <c r="G10" i="1"/>
  <c r="K10" i="1" s="1"/>
  <c r="E35" i="1"/>
  <c r="G17" i="1"/>
  <c r="K26" i="1" s="1"/>
  <c r="G16" i="1"/>
  <c r="K25" i="1" s="1"/>
  <c r="K24" i="1"/>
  <c r="E27" i="1"/>
  <c r="G32" i="1"/>
  <c r="I32" i="1" s="1"/>
  <c r="G24" i="1"/>
  <c r="I24" i="1" s="1"/>
  <c r="E36" i="1"/>
  <c r="E28" i="1"/>
  <c r="E12" i="1"/>
  <c r="E19" i="1" s="1"/>
  <c r="G26" i="1"/>
  <c r="I26" i="1" s="1"/>
  <c r="G25" i="1"/>
  <c r="I25" i="1" s="1"/>
  <c r="T16" i="1"/>
  <c r="T15" i="1"/>
  <c r="T25" i="1"/>
  <c r="T24" i="1"/>
  <c r="G33" i="1"/>
  <c r="T33" i="1"/>
  <c r="U27" i="1"/>
  <c r="T8" i="1"/>
  <c r="G34" i="1"/>
  <c r="L34" i="1" s="1"/>
  <c r="T9" i="1"/>
  <c r="T32" i="1"/>
  <c r="U35" i="1"/>
  <c r="E18" i="1"/>
  <c r="K9" i="1" l="1"/>
  <c r="G11" i="1"/>
  <c r="L25" i="1"/>
  <c r="E38" i="1"/>
  <c r="T34" i="1"/>
  <c r="I33" i="1"/>
  <c r="L33" i="1"/>
  <c r="K33" i="1"/>
  <c r="L24" i="1"/>
  <c r="L26" i="1"/>
  <c r="G18" i="1"/>
  <c r="J19" i="1" s="1"/>
  <c r="L32" i="1"/>
  <c r="I17" i="1"/>
  <c r="I15" i="1"/>
  <c r="I34" i="1"/>
  <c r="K34" i="1"/>
  <c r="G35" i="1"/>
  <c r="J36" i="1" s="1"/>
  <c r="G27" i="1"/>
  <c r="J28" i="1" s="1"/>
  <c r="T26" i="1"/>
  <c r="I27" i="1"/>
  <c r="T17" i="1"/>
  <c r="K27" i="1"/>
  <c r="L10" i="1"/>
  <c r="T10" i="1"/>
  <c r="L9" i="1"/>
  <c r="K32" i="1"/>
  <c r="L8" i="1"/>
  <c r="K8" i="1"/>
  <c r="K11" i="1" l="1"/>
  <c r="J39" i="1"/>
  <c r="J12" i="1"/>
  <c r="M43" i="1" s="1"/>
  <c r="L27" i="1"/>
  <c r="L28" i="1" s="1"/>
  <c r="I35" i="1"/>
  <c r="K35" i="1"/>
  <c r="L35" i="1"/>
  <c r="L36" i="1" s="1"/>
  <c r="L11" i="1"/>
  <c r="I10" i="1"/>
  <c r="U18" i="1"/>
  <c r="I16" i="1"/>
  <c r="I18" i="1" s="1"/>
  <c r="U11" i="1"/>
  <c r="I8" i="1"/>
  <c r="H11" i="1"/>
  <c r="J44" i="1" l="1"/>
  <c r="L12" i="1"/>
  <c r="L39" i="1" s="1"/>
  <c r="J43" i="1"/>
  <c r="J42" i="1" s="1"/>
  <c r="J41" i="1"/>
  <c r="I11" i="1"/>
  <c r="J40" i="1"/>
</calcChain>
</file>

<file path=xl/sharedStrings.xml><?xml version="1.0" encoding="utf-8"?>
<sst xmlns="http://schemas.openxmlformats.org/spreadsheetml/2006/main" count="125" uniqueCount="52">
  <si>
    <t>Texas Public Education Grants (TPEG)</t>
  </si>
  <si>
    <t>Section 56.033(1)</t>
  </si>
  <si>
    <t>TERM</t>
  </si>
  <si>
    <t xml:space="preserve"> </t>
  </si>
  <si>
    <t>FIXED PERCENTAGE</t>
  </si>
  <si>
    <t>(input) SEMESTER CREDIT HOURS</t>
  </si>
  <si>
    <t>COMPUTED TOTAL</t>
  </si>
  <si>
    <t>Section 56.033(2)</t>
  </si>
  <si>
    <t>(input) YEAR</t>
  </si>
  <si>
    <t>(input) RATE / SCH</t>
  </si>
  <si>
    <t>Resident UG Student Assistance</t>
  </si>
  <si>
    <t>Resident GR Student Assistance</t>
  </si>
  <si>
    <t>Financial Aid Set Aside Budget Reconciliation &amp; Transmittal Form (TPEG)</t>
  </si>
  <si>
    <t>Non Resident UG Student Assistance</t>
  </si>
  <si>
    <t>Non Resident GR Student Assistance</t>
  </si>
  <si>
    <t>% Distribution</t>
  </si>
  <si>
    <t>Date of Reconciliation:</t>
  </si>
  <si>
    <t>Acct#</t>
  </si>
  <si>
    <t>Over/(Under)</t>
  </si>
  <si>
    <t>Total Allocated</t>
  </si>
  <si>
    <t xml:space="preserve">Total Computed as Required </t>
  </si>
  <si>
    <t>Over (Under) Allocated</t>
  </si>
  <si>
    <t>90% =</t>
  </si>
  <si>
    <t>10% =</t>
  </si>
  <si>
    <t>TOTAL LOAN FUNDS ALLOCATED TO DATE</t>
  </si>
  <si>
    <t>Total SCH</t>
  </si>
  <si>
    <t>Amt Xfrd</t>
  </si>
  <si>
    <t>32-0000-2096</t>
  </si>
  <si>
    <t>32-0000-2596</t>
  </si>
  <si>
    <t>Reconciled By:</t>
  </si>
  <si>
    <t>Amount Transferred to Loan Funds(10%)</t>
  </si>
  <si>
    <t>FY12 Rate / SCH=</t>
  </si>
  <si>
    <t>FY 14</t>
  </si>
  <si>
    <t>FALL 2013</t>
  </si>
  <si>
    <t>SPG 2014</t>
  </si>
  <si>
    <t>SUM 2014</t>
  </si>
  <si>
    <t>FY14</t>
  </si>
  <si>
    <t>Accounting Doc IDs</t>
  </si>
  <si>
    <t>Andrea Chavez</t>
  </si>
  <si>
    <t>Z3VJ1992935</t>
  </si>
  <si>
    <t>DZX024</t>
  </si>
  <si>
    <t>DZX036</t>
  </si>
  <si>
    <t>DZX032</t>
  </si>
  <si>
    <t>DZX026 &amp; DZX038</t>
  </si>
  <si>
    <t>DZX029</t>
  </si>
  <si>
    <t>Note - BASED ON CERTIFIED FALL 13, CERTIFIED SPRING 14 &amp; EST SUMMER 14</t>
  </si>
  <si>
    <t>19-0790-04</t>
  </si>
  <si>
    <t>19-0790-41</t>
  </si>
  <si>
    <t>19-0790-15</t>
  </si>
  <si>
    <t>19-0790-05 &amp; 19-0790-42</t>
  </si>
  <si>
    <t>19-0790-11</t>
  </si>
  <si>
    <t>DEFINE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</si>
</sst>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&quot;$&quot;* #,##0_);_(&quot;$&quot;* \(#,##0\);_(&quot;$&quot;* &quot;-&quot;??_);_(@_)"/>
    <numFmt numFmtId="166" formatCode="_([$$-409]* #,##0_);_([$$-409]* \(#,##0\);_([$$-409]* &quot;-&quot;??_);_(@_)"/>
    <numFmt numFmtId="167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28"/>
      <name val="Calibri"/>
      <family val="2"/>
    </font>
    <font>
      <b/>
      <sz val="14"/>
      <color indexed="28"/>
      <name val="Calibri"/>
      <family val="2"/>
    </font>
    <font>
      <b/>
      <sz val="11"/>
      <color indexed="28"/>
      <name val="Calibri"/>
      <family val="2"/>
    </font>
    <font>
      <b/>
      <sz val="16"/>
      <color indexed="28"/>
      <name val="Calibri"/>
      <family val="2"/>
    </font>
    <font>
      <sz val="9"/>
      <color indexed="28"/>
      <name val="Calibri"/>
      <family val="2"/>
    </font>
    <font>
      <sz val="11"/>
      <color indexed="60"/>
      <name val="Calibri"/>
      <family val="2"/>
    </font>
    <font>
      <i/>
      <sz val="11"/>
      <color indexed="28"/>
      <name val="Calibri"/>
      <family val="2"/>
    </font>
    <font>
      <sz val="8"/>
      <color indexed="28"/>
      <name val="Calibri"/>
      <family val="2"/>
    </font>
    <font>
      <i/>
      <sz val="11"/>
      <color indexed="21"/>
      <name val="Calibri"/>
      <family val="2"/>
    </font>
    <font>
      <b/>
      <sz val="11"/>
      <color indexed="21"/>
      <name val="Calibri"/>
      <family val="2"/>
    </font>
    <font>
      <sz val="8"/>
      <color indexed="8"/>
      <name val="Calibri"/>
      <family val="2"/>
    </font>
    <font>
      <b/>
      <i/>
      <sz val="11"/>
      <color indexed="21"/>
      <name val="Calibri"/>
      <family val="2"/>
    </font>
    <font>
      <b/>
      <sz val="8"/>
      <color indexed="28"/>
      <name val="Calibri"/>
      <family val="2"/>
    </font>
    <font>
      <b/>
      <sz val="11"/>
      <color indexed="60"/>
      <name val="Calibri"/>
      <family val="2"/>
    </font>
    <font>
      <b/>
      <sz val="9"/>
      <color indexed="28"/>
      <name val="Calibri"/>
      <family val="2"/>
    </font>
    <font>
      <sz val="10"/>
      <color indexed="28"/>
      <name val="Calibri"/>
      <family val="2"/>
    </font>
    <font>
      <b/>
      <sz val="12"/>
      <color indexed="12"/>
      <name val="Calibri"/>
      <family val="2"/>
    </font>
    <font>
      <b/>
      <sz val="12"/>
      <color indexed="28"/>
      <name val="Calibri"/>
      <family val="2"/>
    </font>
    <font>
      <b/>
      <sz val="16"/>
      <color indexed="36"/>
      <name val="Calibri"/>
      <family val="2"/>
    </font>
    <font>
      <b/>
      <sz val="12"/>
      <color indexed="10"/>
      <name val="Calibri"/>
      <family val="2"/>
    </font>
    <font>
      <b/>
      <u/>
      <sz val="14"/>
      <color indexed="28"/>
      <name val="Calibri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0"/>
      </bottom>
      <diagonal/>
    </border>
    <border>
      <left/>
      <right style="medium">
        <color indexed="64"/>
      </right>
      <top/>
      <bottom style="double">
        <color indexed="6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0"/>
      </top>
      <bottom/>
      <diagonal/>
    </border>
    <border>
      <left/>
      <right style="medium">
        <color indexed="64"/>
      </right>
      <top style="double">
        <color indexed="60"/>
      </top>
      <bottom/>
      <diagonal/>
    </border>
    <border>
      <left style="medium">
        <color indexed="64"/>
      </left>
      <right/>
      <top style="double">
        <color indexed="6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165" fontId="2" fillId="2" borderId="1" xfId="2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165" fontId="2" fillId="2" borderId="3" xfId="2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Alignment="1">
      <alignment horizontal="center"/>
    </xf>
    <xf numFmtId="10" fontId="9" fillId="0" borderId="0" xfId="3" applyNumberFormat="1" applyFont="1" applyAlignment="1">
      <alignment horizontal="center"/>
    </xf>
    <xf numFmtId="10" fontId="9" fillId="0" borderId="0" xfId="3" applyNumberFormat="1" applyFont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/>
    <xf numFmtId="0" fontId="2" fillId="2" borderId="7" xfId="0" applyFont="1" applyFill="1" applyBorder="1"/>
    <xf numFmtId="164" fontId="4" fillId="2" borderId="3" xfId="0" applyNumberFormat="1" applyFont="1" applyFill="1" applyBorder="1"/>
    <xf numFmtId="165" fontId="13" fillId="2" borderId="3" xfId="2" applyNumberFormat="1" applyFont="1" applyFill="1" applyBorder="1"/>
    <xf numFmtId="165" fontId="4" fillId="2" borderId="3" xfId="2" applyNumberFormat="1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5" fillId="3" borderId="8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/>
    <xf numFmtId="0" fontId="8" fillId="2" borderId="4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6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right"/>
    </xf>
    <xf numFmtId="0" fontId="7" fillId="2" borderId="0" xfId="0" applyFont="1" applyFill="1" applyBorder="1"/>
    <xf numFmtId="165" fontId="11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wrapText="1"/>
    </xf>
    <xf numFmtId="165" fontId="2" fillId="3" borderId="0" xfId="0" applyNumberFormat="1" applyFont="1" applyFill="1" applyBorder="1"/>
    <xf numFmtId="165" fontId="11" fillId="3" borderId="0" xfId="0" applyNumberFormat="1" applyFont="1" applyFill="1" applyBorder="1"/>
    <xf numFmtId="9" fontId="2" fillId="2" borderId="0" xfId="0" applyNumberFormat="1" applyFont="1" applyFill="1" applyBorder="1" applyAlignment="1">
      <alignment horizontal="center" wrapText="1"/>
    </xf>
    <xf numFmtId="165" fontId="12" fillId="0" borderId="0" xfId="2" applyNumberFormat="1" applyFont="1" applyBorder="1"/>
    <xf numFmtId="165" fontId="14" fillId="2" borderId="0" xfId="0" applyNumberFormat="1" applyFont="1" applyFill="1" applyBorder="1"/>
    <xf numFmtId="165" fontId="15" fillId="2" borderId="0" xfId="0" applyNumberFormat="1" applyFont="1" applyFill="1" applyBorder="1"/>
    <xf numFmtId="0" fontId="4" fillId="3" borderId="8" xfId="0" applyFont="1" applyFill="1" applyBorder="1"/>
    <xf numFmtId="0" fontId="4" fillId="3" borderId="4" xfId="0" applyFont="1" applyFill="1" applyBorder="1"/>
    <xf numFmtId="14" fontId="16" fillId="3" borderId="4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left"/>
    </xf>
    <xf numFmtId="165" fontId="11" fillId="2" borderId="12" xfId="0" applyNumberFormat="1" applyFont="1" applyFill="1" applyBorder="1" applyAlignment="1">
      <alignment horizontal="left"/>
    </xf>
    <xf numFmtId="165" fontId="4" fillId="2" borderId="11" xfId="2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5" fontId="8" fillId="3" borderId="13" xfId="0" applyNumberFormat="1" applyFont="1" applyFill="1" applyBorder="1" applyAlignment="1">
      <alignment horizontal="left" wrapText="1"/>
    </xf>
    <xf numFmtId="165" fontId="2" fillId="3" borderId="11" xfId="0" applyNumberFormat="1" applyFont="1" applyFill="1" applyBorder="1" applyAlignment="1">
      <alignment horizontal="left"/>
    </xf>
    <xf numFmtId="165" fontId="11" fillId="3" borderId="12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8" fillId="2" borderId="13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44" fontId="2" fillId="2" borderId="14" xfId="2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3" fontId="2" fillId="3" borderId="4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/>
    <xf numFmtId="3" fontId="2" fillId="2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3" fontId="2" fillId="3" borderId="3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3" fillId="2" borderId="2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22" fillId="2" borderId="19" xfId="0" applyFont="1" applyFill="1" applyBorder="1"/>
    <xf numFmtId="3" fontId="4" fillId="2" borderId="0" xfId="0" applyNumberFormat="1" applyFont="1" applyFill="1" applyBorder="1" applyAlignment="1">
      <alignment horizontal="center"/>
    </xf>
    <xf numFmtId="165" fontId="10" fillId="2" borderId="0" xfId="2" applyNumberFormat="1" applyFont="1" applyFill="1" applyBorder="1"/>
    <xf numFmtId="165" fontId="2" fillId="2" borderId="0" xfId="2" applyNumberFormat="1" applyFont="1" applyFill="1" applyBorder="1"/>
    <xf numFmtId="165" fontId="11" fillId="2" borderId="11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0" xfId="0" applyFont="1" applyFill="1" applyBorder="1" applyAlignment="1">
      <alignment horizontal="center"/>
    </xf>
    <xf numFmtId="0" fontId="17" fillId="3" borderId="2" xfId="0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5" fontId="9" fillId="0" borderId="11" xfId="2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center" wrapText="1"/>
    </xf>
    <xf numFmtId="43" fontId="2" fillId="0" borderId="0" xfId="1" applyFont="1" applyBorder="1"/>
    <xf numFmtId="43" fontId="2" fillId="0" borderId="0" xfId="1" applyFont="1" applyAlignment="1">
      <alignment wrapText="1"/>
    </xf>
    <xf numFmtId="43" fontId="2" fillId="0" borderId="0" xfId="1" applyFont="1" applyBorder="1" applyAlignment="1">
      <alignment horizontal="left" wrapText="1"/>
    </xf>
    <xf numFmtId="43" fontId="2" fillId="0" borderId="0" xfId="1" applyFont="1" applyBorder="1" applyAlignment="1">
      <alignment wrapText="1"/>
    </xf>
    <xf numFmtId="43" fontId="2" fillId="0" borderId="0" xfId="1" applyFont="1" applyBorder="1" applyAlignment="1">
      <alignment horizontal="left"/>
    </xf>
    <xf numFmtId="0" fontId="4" fillId="2" borderId="5" xfId="0" applyFont="1" applyFill="1" applyBorder="1"/>
    <xf numFmtId="0" fontId="4" fillId="2" borderId="0" xfId="0" applyFont="1" applyFill="1" applyBorder="1"/>
    <xf numFmtId="0" fontId="19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18" fillId="2" borderId="11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0" fillId="0" borderId="0" xfId="0" applyFill="1"/>
    <xf numFmtId="0" fontId="2" fillId="0" borderId="0" xfId="0" applyFont="1" applyFill="1"/>
    <xf numFmtId="44" fontId="11" fillId="2" borderId="12" xfId="0" applyNumberFormat="1" applyFont="1" applyFill="1" applyBorder="1" applyAlignment="1">
      <alignment horizontal="left"/>
    </xf>
    <xf numFmtId="167" fontId="2" fillId="2" borderId="1" xfId="1" applyNumberFormat="1" applyFont="1" applyFill="1" applyBorder="1" applyAlignment="1">
      <alignment horizontal="center"/>
    </xf>
    <xf numFmtId="0" fontId="21" fillId="3" borderId="5" xfId="0" applyFont="1" applyFill="1" applyBorder="1" applyAlignment="1">
      <alignment horizontal="left" wrapText="1" indent="4"/>
    </xf>
    <xf numFmtId="0" fontId="21" fillId="3" borderId="0" xfId="0" applyFont="1" applyFill="1" applyBorder="1" applyAlignment="1">
      <alignment horizontal="left" wrapText="1" indent="4"/>
    </xf>
    <xf numFmtId="0" fontId="23" fillId="3" borderId="5" xfId="0" applyFont="1" applyFill="1" applyBorder="1" applyAlignment="1">
      <alignment horizontal="left" wrapText="1"/>
    </xf>
    <xf numFmtId="0" fontId="23" fillId="3" borderId="0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right"/>
    </xf>
    <xf numFmtId="0" fontId="18" fillId="4" borderId="13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right"/>
    </xf>
    <xf numFmtId="0" fontId="18" fillId="4" borderId="11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zoomScale="85" zoomScaleNormal="85" workbookViewId="0">
      <selection activeCell="A3" sqref="A3"/>
    </sheetView>
  </sheetViews>
  <sheetFormatPr defaultColWidth="9.140625" defaultRowHeight="15" x14ac:dyDescent="0.25"/>
  <cols>
    <col min="1" max="1" width="10.42578125" style="1" customWidth="1"/>
    <col min="2" max="2" width="1.140625" style="1" customWidth="1"/>
    <col min="3" max="3" width="11" style="3" customWidth="1"/>
    <col min="4" max="4" width="13" style="3" customWidth="1"/>
    <col min="5" max="5" width="13.85546875" style="100" customWidth="1"/>
    <col min="6" max="6" width="9.42578125" style="1" customWidth="1"/>
    <col min="7" max="7" width="13.28515625" style="1" customWidth="1"/>
    <col min="8" max="8" width="13.85546875" style="1" customWidth="1"/>
    <col min="9" max="9" width="13.140625" style="1" customWidth="1"/>
    <col min="10" max="10" width="29" style="82" customWidth="1"/>
    <col min="11" max="11" width="12.140625" style="1" bestFit="1" customWidth="1"/>
    <col min="12" max="12" width="11.5703125" style="1" customWidth="1"/>
    <col min="13" max="13" width="13" style="119" customWidth="1"/>
    <col min="14" max="14" width="8.28515625" style="119" customWidth="1"/>
    <col min="15" max="15" width="8.85546875"/>
    <col min="16" max="16" width="26.85546875" customWidth="1"/>
    <col min="17" max="17" width="9.140625" style="1" customWidth="1"/>
    <col min="18" max="18" width="9.140625" style="1" hidden="1" customWidth="1"/>
    <col min="19" max="19" width="9.140625" style="1" customWidth="1"/>
    <col min="20" max="20" width="0" style="30" hidden="1" customWidth="1"/>
    <col min="21" max="21" width="11.5703125" style="30" hidden="1" customWidth="1"/>
    <col min="22" max="16384" width="9.140625" style="1"/>
  </cols>
  <sheetData>
    <row r="1" spans="1:21" s="4" customFormat="1" ht="21" x14ac:dyDescent="0.35">
      <c r="A1" s="52" t="s">
        <v>12</v>
      </c>
      <c r="B1" s="53"/>
      <c r="C1" s="54"/>
      <c r="D1" s="54"/>
      <c r="E1" s="90"/>
      <c r="F1" s="53"/>
      <c r="G1" s="53"/>
      <c r="H1" s="53"/>
      <c r="I1" s="53"/>
      <c r="J1" s="89" t="s">
        <v>32</v>
      </c>
      <c r="K1" s="20"/>
      <c r="L1" s="20"/>
      <c r="M1" s="119"/>
      <c r="N1" s="119"/>
      <c r="T1" s="29"/>
      <c r="U1" s="29"/>
    </row>
    <row r="2" spans="1:21" s="4" customFormat="1" ht="6.75" customHeight="1" thickBot="1" x14ac:dyDescent="0.3">
      <c r="A2" s="55"/>
      <c r="B2" s="26"/>
      <c r="C2" s="27"/>
      <c r="D2" s="27"/>
      <c r="E2" s="91"/>
      <c r="F2" s="26"/>
      <c r="G2" s="26"/>
      <c r="H2" s="26"/>
      <c r="I2" s="26"/>
      <c r="J2" s="73"/>
      <c r="K2" s="20"/>
      <c r="L2" s="20"/>
      <c r="M2" s="119"/>
      <c r="N2" s="119"/>
      <c r="T2" s="29"/>
      <c r="U2" s="29"/>
    </row>
    <row r="3" spans="1:21" ht="19.5" thickTop="1" x14ac:dyDescent="0.3">
      <c r="A3" s="107" t="s">
        <v>0</v>
      </c>
      <c r="B3" s="101"/>
      <c r="C3" s="102"/>
      <c r="D3" s="102"/>
      <c r="E3" s="103"/>
      <c r="F3" s="101"/>
      <c r="G3" s="101"/>
      <c r="H3" s="101"/>
      <c r="I3" s="101"/>
      <c r="J3" s="104"/>
      <c r="K3" s="6"/>
      <c r="L3" s="6"/>
      <c r="O3" t="s">
        <v>51</v>
      </c>
    </row>
    <row r="4" spans="1:21" ht="11.25" customHeight="1" thickBot="1" x14ac:dyDescent="0.35">
      <c r="A4" s="105"/>
      <c r="B4" s="12"/>
      <c r="C4" s="36"/>
      <c r="D4" s="36"/>
      <c r="E4" s="106"/>
      <c r="F4" s="12"/>
      <c r="G4" s="12"/>
      <c r="H4" s="12"/>
      <c r="I4" s="12"/>
      <c r="J4" s="77"/>
      <c r="K4" s="6"/>
      <c r="L4" s="6"/>
    </row>
    <row r="5" spans="1:21" ht="15.75" x14ac:dyDescent="0.25">
      <c r="A5" s="47" t="s">
        <v>1</v>
      </c>
      <c r="B5" s="13"/>
      <c r="C5" s="14"/>
      <c r="D5" s="84" t="s">
        <v>10</v>
      </c>
      <c r="E5" s="92"/>
      <c r="F5" s="15"/>
      <c r="G5" s="15"/>
      <c r="H5" s="15"/>
      <c r="I5" s="56" t="s">
        <v>17</v>
      </c>
      <c r="J5" s="83" t="s">
        <v>40</v>
      </c>
      <c r="K5" s="60"/>
      <c r="L5" s="60"/>
      <c r="O5" s="138" t="s">
        <v>17</v>
      </c>
      <c r="P5" s="139" t="s">
        <v>46</v>
      </c>
    </row>
    <row r="6" spans="1:21" ht="15.75" x14ac:dyDescent="0.25">
      <c r="A6" s="124"/>
      <c r="B6" s="125"/>
      <c r="C6" s="113"/>
      <c r="D6" s="126"/>
      <c r="E6" s="108"/>
      <c r="F6" s="6"/>
      <c r="G6" s="6"/>
      <c r="H6" s="6"/>
      <c r="I6" s="127"/>
      <c r="J6" s="128" t="s">
        <v>41</v>
      </c>
      <c r="K6" s="60"/>
      <c r="L6" s="60"/>
      <c r="O6" s="140"/>
      <c r="P6" s="141" t="s">
        <v>47</v>
      </c>
    </row>
    <row r="7" spans="1:21" s="2" customFormat="1" ht="45.75" thickBot="1" x14ac:dyDescent="0.3">
      <c r="A7" s="48" t="s">
        <v>4</v>
      </c>
      <c r="B7" s="18"/>
      <c r="C7" s="19" t="s">
        <v>2</v>
      </c>
      <c r="D7" s="19" t="s">
        <v>8</v>
      </c>
      <c r="E7" s="93" t="s">
        <v>5</v>
      </c>
      <c r="F7" s="19" t="s">
        <v>9</v>
      </c>
      <c r="G7" s="19" t="s">
        <v>6</v>
      </c>
      <c r="H7" s="115" t="s">
        <v>26</v>
      </c>
      <c r="I7" s="19" t="s">
        <v>18</v>
      </c>
      <c r="J7" s="116" t="s">
        <v>37</v>
      </c>
      <c r="K7" s="66">
        <v>0.9</v>
      </c>
      <c r="L7" s="66">
        <v>0.1</v>
      </c>
      <c r="M7" s="120"/>
      <c r="N7" s="120"/>
      <c r="Q7" s="5" t="s">
        <v>3</v>
      </c>
      <c r="T7" s="31" t="s">
        <v>15</v>
      </c>
      <c r="U7" s="32"/>
    </row>
    <row r="8" spans="1:21" ht="15.75" thickBot="1" x14ac:dyDescent="0.3">
      <c r="A8" s="44">
        <v>0.15</v>
      </c>
      <c r="B8" s="6"/>
      <c r="C8" s="7" t="s">
        <v>33</v>
      </c>
      <c r="D8" s="7" t="s">
        <v>36</v>
      </c>
      <c r="E8" s="133">
        <v>277221</v>
      </c>
      <c r="F8" s="25">
        <v>50</v>
      </c>
      <c r="G8" s="22">
        <f>ROUND(F8*E8*A8,0)</f>
        <v>2079158</v>
      </c>
      <c r="H8" s="23">
        <v>0</v>
      </c>
      <c r="I8" s="23">
        <f>H8-G8</f>
        <v>-2079158</v>
      </c>
      <c r="J8" s="117" t="s">
        <v>39</v>
      </c>
      <c r="K8" s="67">
        <f>$K$7*G8</f>
        <v>1871242.2</v>
      </c>
      <c r="L8" s="67">
        <f>$L$7*G8</f>
        <v>207915.80000000002</v>
      </c>
      <c r="M8" s="119">
        <v>18</v>
      </c>
      <c r="T8" s="34">
        <f>E8/(E8+E9+E10)</f>
        <v>0.48184861505089271</v>
      </c>
    </row>
    <row r="9" spans="1:21" ht="15.75" thickBot="1" x14ac:dyDescent="0.3">
      <c r="A9" s="44">
        <v>0.15</v>
      </c>
      <c r="B9" s="6"/>
      <c r="C9" s="7" t="s">
        <v>34</v>
      </c>
      <c r="D9" s="7" t="s">
        <v>36</v>
      </c>
      <c r="E9" s="133">
        <v>249371</v>
      </c>
      <c r="F9" s="25">
        <v>50</v>
      </c>
      <c r="G9" s="22">
        <f>ROUND(F9*E9*A9,0)</f>
        <v>1870283</v>
      </c>
      <c r="H9" s="23"/>
      <c r="I9" s="23">
        <f>H9-G9</f>
        <v>-1870283</v>
      </c>
      <c r="J9" s="117"/>
      <c r="K9" s="67">
        <f>$K$7*G9</f>
        <v>1683254.7</v>
      </c>
      <c r="L9" s="67">
        <f>$L$7*G9</f>
        <v>187028.30000000002</v>
      </c>
      <c r="M9" s="119">
        <v>-203438</v>
      </c>
      <c r="T9" s="34">
        <f>E9/(E8+E9+E10)</f>
        <v>0.43344144557539349</v>
      </c>
    </row>
    <row r="10" spans="1:21" ht="15.75" thickBot="1" x14ac:dyDescent="0.3">
      <c r="A10" s="44">
        <v>0.15</v>
      </c>
      <c r="B10" s="6"/>
      <c r="C10" s="7" t="s">
        <v>35</v>
      </c>
      <c r="D10" s="7" t="s">
        <v>36</v>
      </c>
      <c r="E10" s="133">
        <v>48736</v>
      </c>
      <c r="F10" s="25">
        <v>50</v>
      </c>
      <c r="G10" s="22">
        <f>ROUND(F10*E10*A10,0)</f>
        <v>365520</v>
      </c>
      <c r="H10" s="23"/>
      <c r="I10" s="23">
        <f>H10-G10</f>
        <v>-365520</v>
      </c>
      <c r="J10" s="117"/>
      <c r="K10" s="67">
        <f>$K$7*G10</f>
        <v>328968</v>
      </c>
      <c r="L10" s="67">
        <f>$L$7*G10</f>
        <v>36552</v>
      </c>
      <c r="T10" s="34">
        <f>1-T9-T8</f>
        <v>8.470993937371385E-2</v>
      </c>
    </row>
    <row r="11" spans="1:21" ht="15.75" thickBot="1" x14ac:dyDescent="0.3">
      <c r="A11" s="45"/>
      <c r="B11" s="6"/>
      <c r="C11" s="9"/>
      <c r="D11" s="9"/>
      <c r="E11" s="94">
        <f>SUM(E8:E10)</f>
        <v>575328</v>
      </c>
      <c r="F11" s="10"/>
      <c r="G11" s="22">
        <f>SUM(G8:G10)</f>
        <v>4314961</v>
      </c>
      <c r="H11" s="22">
        <f>SUM(H8:H10)</f>
        <v>0</v>
      </c>
      <c r="I11" s="22">
        <f>SUM(I8:I10)</f>
        <v>-4314961</v>
      </c>
      <c r="J11" s="74" t="s">
        <v>3</v>
      </c>
      <c r="K11" s="68">
        <f>SUM(K8:K10)</f>
        <v>3883464.9</v>
      </c>
      <c r="L11" s="68">
        <f>SUM(L8:L10)</f>
        <v>431496.10000000003</v>
      </c>
      <c r="T11" s="34"/>
      <c r="U11" s="33">
        <f>H8+H9+H10</f>
        <v>0</v>
      </c>
    </row>
    <row r="12" spans="1:21" ht="15.75" thickBot="1" x14ac:dyDescent="0.3">
      <c r="A12" s="46"/>
      <c r="B12" s="12"/>
      <c r="C12" s="51" t="s">
        <v>17</v>
      </c>
      <c r="D12" s="36"/>
      <c r="E12" s="95" t="str">
        <f>R12</f>
        <v>32-0000-2096</v>
      </c>
      <c r="F12" s="39"/>
      <c r="G12" s="40" t="s">
        <v>30</v>
      </c>
      <c r="H12" s="41"/>
      <c r="I12" s="41"/>
      <c r="J12" s="132">
        <f>G11*10%</f>
        <v>431496.10000000003</v>
      </c>
      <c r="K12" s="61"/>
      <c r="L12" s="69">
        <f>L11-J12</f>
        <v>0</v>
      </c>
      <c r="M12" s="119">
        <f>SUM(M8:M11)</f>
        <v>-203420</v>
      </c>
      <c r="R12" s="4" t="s">
        <v>27</v>
      </c>
      <c r="T12" s="34"/>
      <c r="U12" s="33"/>
    </row>
    <row r="13" spans="1:21" ht="15.75" x14ac:dyDescent="0.25">
      <c r="A13" s="47" t="s">
        <v>1</v>
      </c>
      <c r="B13" s="13"/>
      <c r="C13" s="14"/>
      <c r="D13" s="84" t="s">
        <v>11</v>
      </c>
      <c r="E13" s="92"/>
      <c r="F13" s="15"/>
      <c r="G13" s="15"/>
      <c r="H13" s="15"/>
      <c r="I13" s="56" t="s">
        <v>17</v>
      </c>
      <c r="J13" s="83" t="s">
        <v>42</v>
      </c>
      <c r="K13" s="60"/>
      <c r="L13" s="60"/>
      <c r="O13" s="138" t="s">
        <v>17</v>
      </c>
      <c r="P13" s="139" t="s">
        <v>48</v>
      </c>
      <c r="T13" s="34"/>
    </row>
    <row r="14" spans="1:21" ht="45.75" thickBot="1" x14ac:dyDescent="0.3">
      <c r="A14" s="48" t="s">
        <v>4</v>
      </c>
      <c r="B14" s="18"/>
      <c r="C14" s="19" t="s">
        <v>2</v>
      </c>
      <c r="D14" s="19" t="s">
        <v>8</v>
      </c>
      <c r="E14" s="93" t="s">
        <v>5</v>
      </c>
      <c r="F14" s="19" t="s">
        <v>9</v>
      </c>
      <c r="G14" s="19" t="s">
        <v>6</v>
      </c>
      <c r="H14" s="115" t="s">
        <v>26</v>
      </c>
      <c r="I14" s="19" t="s">
        <v>18</v>
      </c>
      <c r="J14" s="116" t="s">
        <v>37</v>
      </c>
      <c r="M14" s="121" t="s">
        <v>3</v>
      </c>
      <c r="N14" s="121"/>
      <c r="T14" s="34"/>
    </row>
    <row r="15" spans="1:21" ht="15.75" customHeight="1" thickBot="1" x14ac:dyDescent="0.3">
      <c r="A15" s="44">
        <v>0.15</v>
      </c>
      <c r="B15" s="6"/>
      <c r="C15" s="7" t="s">
        <v>33</v>
      </c>
      <c r="D15" s="7" t="s">
        <v>36</v>
      </c>
      <c r="E15" s="133">
        <f>20510+5172</f>
        <v>25682</v>
      </c>
      <c r="F15" s="25">
        <v>50</v>
      </c>
      <c r="G15" s="22">
        <f>ROUND(F15*E15*A15,0)</f>
        <v>192615</v>
      </c>
      <c r="H15" s="24">
        <v>0</v>
      </c>
      <c r="I15" s="23">
        <f>H15-G15</f>
        <v>-192615</v>
      </c>
      <c r="J15" s="117" t="s">
        <v>39</v>
      </c>
      <c r="M15" s="121">
        <v>464</v>
      </c>
      <c r="N15" s="121"/>
      <c r="T15" s="34">
        <f>E15/(E15+E16+E17)</f>
        <v>0.43066758338503847</v>
      </c>
    </row>
    <row r="16" spans="1:21" ht="15.75" thickBot="1" x14ac:dyDescent="0.3">
      <c r="A16" s="44">
        <v>0.15</v>
      </c>
      <c r="B16" s="6"/>
      <c r="C16" s="7" t="s">
        <v>34</v>
      </c>
      <c r="D16" s="7" t="s">
        <v>36</v>
      </c>
      <c r="E16" s="133">
        <f>19923+4806</f>
        <v>24729</v>
      </c>
      <c r="F16" s="25">
        <v>50</v>
      </c>
      <c r="G16" s="22">
        <f>ROUND(F16*E16*A16,0)</f>
        <v>185468</v>
      </c>
      <c r="H16" s="24">
        <v>0</v>
      </c>
      <c r="I16" s="23">
        <f>H16-G16</f>
        <v>-185468</v>
      </c>
      <c r="J16" s="117"/>
      <c r="M16" s="121">
        <v>-17383</v>
      </c>
      <c r="N16" s="121"/>
      <c r="T16" s="34">
        <f>E16/(E15+E16+E17)</f>
        <v>0.41468649908607652</v>
      </c>
    </row>
    <row r="17" spans="1:21" ht="15.75" thickBot="1" x14ac:dyDescent="0.3">
      <c r="A17" s="44">
        <v>0.15</v>
      </c>
      <c r="B17" s="6"/>
      <c r="C17" s="7" t="s">
        <v>35</v>
      </c>
      <c r="D17" s="7" t="s">
        <v>36</v>
      </c>
      <c r="E17" s="133">
        <f>7605+1617</f>
        <v>9222</v>
      </c>
      <c r="F17" s="25">
        <v>50</v>
      </c>
      <c r="G17" s="22">
        <f>ROUND(F17*E17*A17,0)</f>
        <v>69165</v>
      </c>
      <c r="H17" s="24">
        <v>0</v>
      </c>
      <c r="I17" s="23">
        <f>H17-G17</f>
        <v>-69165</v>
      </c>
      <c r="J17" s="117"/>
      <c r="M17" s="121"/>
      <c r="N17" s="121"/>
      <c r="T17" s="34">
        <f>1-T16-T15</f>
        <v>0.15464591752888496</v>
      </c>
    </row>
    <row r="18" spans="1:21" ht="15.75" thickBot="1" x14ac:dyDescent="0.3">
      <c r="A18" s="45"/>
      <c r="B18" s="6"/>
      <c r="C18" s="9"/>
      <c r="D18" s="9"/>
      <c r="E18" s="94">
        <f>SUM(E15:E17)</f>
        <v>59633</v>
      </c>
      <c r="F18" s="10"/>
      <c r="G18" s="22">
        <f>SUM(G15:G17)</f>
        <v>447248</v>
      </c>
      <c r="H18" s="22">
        <v>0</v>
      </c>
      <c r="I18" s="22">
        <f>SUM(I15:I17)</f>
        <v>-447248</v>
      </c>
      <c r="J18" s="76" t="s">
        <v>3</v>
      </c>
      <c r="T18" s="34"/>
      <c r="U18" s="33">
        <f>H15+H16+H17</f>
        <v>0</v>
      </c>
    </row>
    <row r="19" spans="1:21" ht="15.75" thickBot="1" x14ac:dyDescent="0.3">
      <c r="A19" s="11"/>
      <c r="B19" s="12"/>
      <c r="C19" s="51" t="s">
        <v>17</v>
      </c>
      <c r="D19" s="36"/>
      <c r="E19" s="95" t="str">
        <f>E12</f>
        <v>32-0000-2096</v>
      </c>
      <c r="F19" s="39"/>
      <c r="G19" s="40" t="s">
        <v>30</v>
      </c>
      <c r="H19" s="38"/>
      <c r="I19" s="38"/>
      <c r="J19" s="75">
        <f>G18*10%</f>
        <v>44724.800000000003</v>
      </c>
      <c r="K19" s="6"/>
      <c r="L19" s="6"/>
      <c r="M19" s="119">
        <f>SUM(M15:M18)</f>
        <v>-16919</v>
      </c>
      <c r="T19" s="34"/>
    </row>
    <row r="20" spans="1:21" ht="15" customHeight="1" thickBot="1" x14ac:dyDescent="0.3">
      <c r="A20" s="47" t="s">
        <v>7</v>
      </c>
      <c r="B20" s="13"/>
      <c r="C20" s="14"/>
      <c r="D20" s="84" t="s">
        <v>13</v>
      </c>
      <c r="E20" s="96"/>
      <c r="F20" s="15"/>
      <c r="G20" s="15"/>
      <c r="H20" s="16" t="s">
        <v>3</v>
      </c>
      <c r="I20" s="56" t="s">
        <v>17</v>
      </c>
      <c r="J20" s="83" t="s">
        <v>43</v>
      </c>
      <c r="K20" s="62"/>
      <c r="L20" s="62"/>
      <c r="O20" s="138" t="s">
        <v>17</v>
      </c>
      <c r="P20" s="139" t="s">
        <v>49</v>
      </c>
      <c r="T20" s="34"/>
    </row>
    <row r="21" spans="1:21" ht="15" customHeight="1" thickBot="1" x14ac:dyDescent="0.3">
      <c r="A21" s="17"/>
      <c r="B21" s="6"/>
      <c r="C21" s="9"/>
      <c r="D21" s="9"/>
      <c r="E21" s="97"/>
      <c r="F21" s="6"/>
      <c r="G21" s="87"/>
      <c r="H21" s="85" t="s">
        <v>31</v>
      </c>
      <c r="I21" s="86">
        <v>404</v>
      </c>
      <c r="J21" s="78"/>
      <c r="K21" s="6"/>
      <c r="L21" s="6"/>
      <c r="T21" s="34"/>
    </row>
    <row r="22" spans="1:21" ht="6.75" customHeight="1" x14ac:dyDescent="0.25">
      <c r="A22" s="17"/>
      <c r="B22" s="6"/>
      <c r="C22" s="9"/>
      <c r="D22" s="9"/>
      <c r="E22" s="97"/>
      <c r="F22" s="6"/>
      <c r="G22" s="9"/>
      <c r="H22" s="9"/>
      <c r="I22" s="9"/>
      <c r="J22" s="78"/>
      <c r="K22" s="6"/>
      <c r="L22" s="6"/>
      <c r="T22" s="34"/>
    </row>
    <row r="23" spans="1:21" ht="31.5" customHeight="1" thickBot="1" x14ac:dyDescent="0.3">
      <c r="A23" s="48" t="s">
        <v>4</v>
      </c>
      <c r="B23" s="18"/>
      <c r="C23" s="19" t="s">
        <v>2</v>
      </c>
      <c r="D23" s="19" t="s">
        <v>8</v>
      </c>
      <c r="E23" s="93" t="s">
        <v>5</v>
      </c>
      <c r="F23" s="19" t="s">
        <v>9</v>
      </c>
      <c r="G23" s="19" t="s">
        <v>6</v>
      </c>
      <c r="H23" s="115" t="s">
        <v>26</v>
      </c>
      <c r="I23" s="19" t="s">
        <v>18</v>
      </c>
      <c r="J23" s="116" t="s">
        <v>37</v>
      </c>
      <c r="K23" s="66">
        <v>0.9</v>
      </c>
      <c r="L23" s="66">
        <v>0.1</v>
      </c>
      <c r="T23" s="34"/>
    </row>
    <row r="24" spans="1:21" ht="15" customHeight="1" thickBot="1" x14ac:dyDescent="0.3">
      <c r="A24" s="44">
        <v>0.03</v>
      </c>
      <c r="B24" s="6"/>
      <c r="C24" s="7" t="s">
        <v>33</v>
      </c>
      <c r="D24" s="7" t="s">
        <v>36</v>
      </c>
      <c r="E24" s="94">
        <v>14257</v>
      </c>
      <c r="F24" s="8">
        <f>I21</f>
        <v>404</v>
      </c>
      <c r="G24" s="22">
        <f>ROUND(F24*E24*A24,0)</f>
        <v>172795</v>
      </c>
      <c r="H24" s="24">
        <v>0</v>
      </c>
      <c r="I24" s="23">
        <f>H24-G24</f>
        <v>-172795</v>
      </c>
      <c r="J24" s="117" t="s">
        <v>39</v>
      </c>
      <c r="K24" s="67">
        <f>$K$7*G15</f>
        <v>173353.5</v>
      </c>
      <c r="L24" s="67">
        <f>$L$7*G15</f>
        <v>19261.5</v>
      </c>
      <c r="M24" s="123">
        <v>0</v>
      </c>
      <c r="N24" s="123"/>
      <c r="P24" s="130"/>
      <c r="Q24" s="131"/>
      <c r="R24" s="131"/>
      <c r="S24" s="131"/>
      <c r="T24" s="34">
        <f>E24/(E24+E25+E26)</f>
        <v>0.45880800669369892</v>
      </c>
    </row>
    <row r="25" spans="1:21" ht="15" customHeight="1" thickBot="1" x14ac:dyDescent="0.3">
      <c r="A25" s="44">
        <v>0.03</v>
      </c>
      <c r="B25" s="6"/>
      <c r="C25" s="7" t="s">
        <v>34</v>
      </c>
      <c r="D25" s="7" t="s">
        <v>36</v>
      </c>
      <c r="E25" s="94">
        <v>12963</v>
      </c>
      <c r="F25" s="8">
        <f>I21</f>
        <v>404</v>
      </c>
      <c r="G25" s="22">
        <f>ROUND(F25*E25*A25,0)</f>
        <v>157112</v>
      </c>
      <c r="H25" s="24"/>
      <c r="I25" s="23">
        <f>H25-G25</f>
        <v>-157112</v>
      </c>
      <c r="J25" s="117"/>
      <c r="K25" s="67">
        <f>$K$7*G16</f>
        <v>166921.20000000001</v>
      </c>
      <c r="L25" s="67">
        <f>$L$7*G16</f>
        <v>18546.8</v>
      </c>
      <c r="M25" s="123">
        <v>-5898</v>
      </c>
      <c r="N25" s="123"/>
      <c r="T25" s="34">
        <f>E25/(E24+E25+E26)</f>
        <v>0.41716547596061015</v>
      </c>
    </row>
    <row r="26" spans="1:21" ht="15" customHeight="1" thickBot="1" x14ac:dyDescent="0.3">
      <c r="A26" s="44">
        <v>0.03</v>
      </c>
      <c r="B26" s="6"/>
      <c r="C26" s="7" t="s">
        <v>35</v>
      </c>
      <c r="D26" s="7" t="s">
        <v>36</v>
      </c>
      <c r="E26" s="94">
        <v>3854</v>
      </c>
      <c r="F26" s="8">
        <f>I21</f>
        <v>404</v>
      </c>
      <c r="G26" s="22">
        <f>ROUND(F26*E26*A26,0)</f>
        <v>46710</v>
      </c>
      <c r="H26" s="24"/>
      <c r="I26" s="23">
        <f>H26-G26</f>
        <v>-46710</v>
      </c>
      <c r="J26" s="117"/>
      <c r="K26" s="67">
        <f>$K$7*G17</f>
        <v>62248.5</v>
      </c>
      <c r="L26" s="67">
        <f>$L$7*G17</f>
        <v>6916.5</v>
      </c>
      <c r="M26" s="123"/>
      <c r="N26" s="123"/>
      <c r="T26" s="34">
        <f>1-T25-T24</f>
        <v>0.12402651734569092</v>
      </c>
    </row>
    <row r="27" spans="1:21" ht="15" customHeight="1" thickBot="1" x14ac:dyDescent="0.3">
      <c r="A27" s="17"/>
      <c r="B27" s="6"/>
      <c r="C27" s="9"/>
      <c r="D27" s="9"/>
      <c r="E27" s="94">
        <f>SUM(E24:E26)</f>
        <v>31074</v>
      </c>
      <c r="F27" s="10"/>
      <c r="G27" s="22">
        <f>SUM(G24:G26)</f>
        <v>376617</v>
      </c>
      <c r="H27" s="22">
        <f>SUM(H24:H26)</f>
        <v>0</v>
      </c>
      <c r="I27" s="22">
        <f>SUM(I24:I26)</f>
        <v>-376617</v>
      </c>
      <c r="J27" s="76"/>
      <c r="K27" s="68">
        <f>SUM(K24:K26)</f>
        <v>402523.2</v>
      </c>
      <c r="L27" s="68">
        <f>SUM(L24:L26)</f>
        <v>44724.800000000003</v>
      </c>
      <c r="M27" s="123"/>
      <c r="N27" s="123"/>
      <c r="T27" s="34"/>
      <c r="U27" s="33">
        <f>H24+H25+H26</f>
        <v>0</v>
      </c>
    </row>
    <row r="28" spans="1:21" ht="15.75" thickBot="1" x14ac:dyDescent="0.3">
      <c r="A28" s="46"/>
      <c r="B28" s="12"/>
      <c r="C28" s="51" t="s">
        <v>17</v>
      </c>
      <c r="D28" s="36"/>
      <c r="E28" s="95" t="str">
        <f>R28</f>
        <v>32-0000-2596</v>
      </c>
      <c r="F28" s="37"/>
      <c r="G28" s="40" t="s">
        <v>30</v>
      </c>
      <c r="H28" s="28"/>
      <c r="I28" s="28"/>
      <c r="J28" s="75">
        <f>G27*10%</f>
        <v>37661.700000000004</v>
      </c>
      <c r="K28" s="61"/>
      <c r="L28" s="69">
        <f>L27-J28</f>
        <v>7063.0999999999985</v>
      </c>
      <c r="M28" s="123">
        <f>SUM(M24:M27)</f>
        <v>-5898</v>
      </c>
      <c r="N28" s="123"/>
      <c r="R28" s="4" t="s">
        <v>28</v>
      </c>
      <c r="T28" s="34"/>
      <c r="U28" s="33"/>
    </row>
    <row r="29" spans="1:21" ht="16.5" thickBot="1" x14ac:dyDescent="0.3">
      <c r="A29" s="47" t="s">
        <v>7</v>
      </c>
      <c r="B29" s="13"/>
      <c r="C29" s="14"/>
      <c r="D29" s="84" t="s">
        <v>14</v>
      </c>
      <c r="E29" s="96"/>
      <c r="F29" s="15"/>
      <c r="G29" s="15"/>
      <c r="H29" s="16" t="s">
        <v>3</v>
      </c>
      <c r="I29" s="56" t="s">
        <v>17</v>
      </c>
      <c r="J29" s="83" t="s">
        <v>44</v>
      </c>
      <c r="K29" s="62"/>
      <c r="L29" s="62"/>
      <c r="O29" s="138" t="s">
        <v>17</v>
      </c>
      <c r="P29" s="139" t="s">
        <v>50</v>
      </c>
      <c r="T29" s="34"/>
    </row>
    <row r="30" spans="1:21" ht="15.75" thickBot="1" x14ac:dyDescent="0.3">
      <c r="A30" s="17"/>
      <c r="B30" s="6"/>
      <c r="C30" s="9"/>
      <c r="D30" s="9"/>
      <c r="E30" s="97"/>
      <c r="F30" s="6"/>
      <c r="G30" s="87"/>
      <c r="H30" s="85" t="s">
        <v>31</v>
      </c>
      <c r="I30" s="86">
        <v>404</v>
      </c>
      <c r="J30" s="88"/>
      <c r="K30" s="6"/>
      <c r="L30" s="6"/>
      <c r="T30" s="34"/>
    </row>
    <row r="31" spans="1:21" s="2" customFormat="1" ht="45" customHeight="1" thickBot="1" x14ac:dyDescent="0.3">
      <c r="A31" s="48" t="s">
        <v>4</v>
      </c>
      <c r="B31" s="18"/>
      <c r="C31" s="19" t="s">
        <v>2</v>
      </c>
      <c r="D31" s="19" t="s">
        <v>8</v>
      </c>
      <c r="E31" s="93" t="s">
        <v>5</v>
      </c>
      <c r="F31" s="19" t="s">
        <v>9</v>
      </c>
      <c r="G31" s="19" t="s">
        <v>6</v>
      </c>
      <c r="H31" s="115" t="s">
        <v>26</v>
      </c>
      <c r="I31" s="19" t="s">
        <v>18</v>
      </c>
      <c r="J31" s="116" t="s">
        <v>37</v>
      </c>
      <c r="K31" s="66">
        <v>0.9</v>
      </c>
      <c r="L31" s="66">
        <v>0.1</v>
      </c>
      <c r="M31" s="122"/>
      <c r="N31" s="122"/>
      <c r="T31" s="35"/>
      <c r="U31" s="31"/>
    </row>
    <row r="32" spans="1:21" ht="15.75" thickBot="1" x14ac:dyDescent="0.3">
      <c r="A32" s="44">
        <v>0.03</v>
      </c>
      <c r="B32" s="6"/>
      <c r="C32" s="7" t="s">
        <v>33</v>
      </c>
      <c r="D32" s="7" t="s">
        <v>36</v>
      </c>
      <c r="E32" s="94">
        <f>1835+80</f>
        <v>1915</v>
      </c>
      <c r="F32" s="8">
        <f>I30</f>
        <v>404</v>
      </c>
      <c r="G32" s="22">
        <f>ROUND(F32*E32*A32,0)</f>
        <v>23210</v>
      </c>
      <c r="H32" s="24">
        <v>0</v>
      </c>
      <c r="I32" s="23">
        <f>H32-G32</f>
        <v>-23210</v>
      </c>
      <c r="J32" s="117" t="s">
        <v>39</v>
      </c>
      <c r="K32" s="67">
        <f>G32*$K$31</f>
        <v>20889</v>
      </c>
      <c r="L32" s="67">
        <f>$L$31*G32</f>
        <v>2321</v>
      </c>
      <c r="M32" s="123">
        <v>85</v>
      </c>
      <c r="N32" s="123"/>
      <c r="T32" s="34">
        <f>E32/(E32+E33+E34)</f>
        <v>0.46514452271071166</v>
      </c>
    </row>
    <row r="33" spans="1:21" ht="15.75" thickBot="1" x14ac:dyDescent="0.3">
      <c r="A33" s="44">
        <v>0.03</v>
      </c>
      <c r="B33" s="6"/>
      <c r="C33" s="7" t="s">
        <v>34</v>
      </c>
      <c r="D33" s="7" t="s">
        <v>36</v>
      </c>
      <c r="E33" s="94">
        <f>1671+130</f>
        <v>1801</v>
      </c>
      <c r="F33" s="8">
        <f>I30</f>
        <v>404</v>
      </c>
      <c r="G33" s="22">
        <f>ROUND(F33*E33*A33,0)</f>
        <v>21828</v>
      </c>
      <c r="H33" s="24">
        <v>0</v>
      </c>
      <c r="I33" s="23">
        <f>H33-G33</f>
        <v>-21828</v>
      </c>
      <c r="J33" s="117"/>
      <c r="K33" s="67">
        <f>G33*$K$31</f>
        <v>19645.2</v>
      </c>
      <c r="L33" s="67">
        <f>$L$31*G33</f>
        <v>2182.8000000000002</v>
      </c>
      <c r="M33" s="123">
        <v>-1107</v>
      </c>
      <c r="N33" s="123"/>
      <c r="T33" s="34">
        <f>E33/(E32+E33+E34)</f>
        <v>0.4374544571289774</v>
      </c>
    </row>
    <row r="34" spans="1:21" ht="15.75" thickBot="1" x14ac:dyDescent="0.3">
      <c r="A34" s="44">
        <v>0.03</v>
      </c>
      <c r="B34" s="6"/>
      <c r="C34" s="7" t="s">
        <v>35</v>
      </c>
      <c r="D34" s="7" t="s">
        <v>36</v>
      </c>
      <c r="E34" s="94">
        <f>387+14</f>
        <v>401</v>
      </c>
      <c r="F34" s="8">
        <f>I30</f>
        <v>404</v>
      </c>
      <c r="G34" s="22">
        <f>ROUND(F34*E34*A34,0)</f>
        <v>4860</v>
      </c>
      <c r="H34" s="24">
        <v>0</v>
      </c>
      <c r="I34" s="23">
        <f>H34-G34</f>
        <v>-4860</v>
      </c>
      <c r="J34" s="117"/>
      <c r="K34" s="67">
        <f>G34*$K$31</f>
        <v>4374</v>
      </c>
      <c r="L34" s="67">
        <f>$L$31*G34</f>
        <v>486</v>
      </c>
      <c r="M34" s="123"/>
      <c r="N34" s="123"/>
      <c r="T34" s="34">
        <f>1-T33-T32</f>
        <v>9.7401020160310992E-2</v>
      </c>
    </row>
    <row r="35" spans="1:21" ht="15.75" thickBot="1" x14ac:dyDescent="0.3">
      <c r="A35" s="17"/>
      <c r="B35" s="6"/>
      <c r="C35" s="9"/>
      <c r="D35" s="9"/>
      <c r="E35" s="94">
        <f>SUM(E32:E34)</f>
        <v>4117</v>
      </c>
      <c r="F35" s="10"/>
      <c r="G35" s="22">
        <f>SUM(G32:G34)</f>
        <v>49898</v>
      </c>
      <c r="H35" s="22">
        <f>SUM(H32:H34)</f>
        <v>0</v>
      </c>
      <c r="I35" s="22">
        <f>SUM(I32:I34)</f>
        <v>-49898</v>
      </c>
      <c r="J35" s="76" t="s">
        <v>3</v>
      </c>
      <c r="K35" s="68">
        <f>SUM(K32:K34)</f>
        <v>44908.2</v>
      </c>
      <c r="L35" s="68">
        <f>SUM(L32:L34)</f>
        <v>4989.8</v>
      </c>
      <c r="M35" s="123"/>
      <c r="N35" s="123"/>
      <c r="T35" s="34"/>
      <c r="U35" s="33">
        <f>H32+H33+H34</f>
        <v>0</v>
      </c>
    </row>
    <row r="36" spans="1:21" ht="15.75" thickBot="1" x14ac:dyDescent="0.3">
      <c r="A36" s="45"/>
      <c r="B36" s="6"/>
      <c r="C36" s="9"/>
      <c r="D36" s="9"/>
      <c r="E36" s="108" t="str">
        <f>R36</f>
        <v>32-0000-2596</v>
      </c>
      <c r="F36" s="10"/>
      <c r="G36" s="40" t="s">
        <v>30</v>
      </c>
      <c r="H36" s="110"/>
      <c r="I36" s="110"/>
      <c r="J36" s="132">
        <f>G35*10%</f>
        <v>4989.8</v>
      </c>
      <c r="K36" s="61"/>
      <c r="L36" s="69">
        <f>L35-J36</f>
        <v>0</v>
      </c>
      <c r="M36" s="122">
        <f>SUM(M32:M35)</f>
        <v>-1022</v>
      </c>
      <c r="N36" s="122"/>
      <c r="R36" s="4" t="s">
        <v>28</v>
      </c>
      <c r="T36" s="34"/>
      <c r="U36" s="33"/>
    </row>
    <row r="37" spans="1:21" x14ac:dyDescent="0.25">
      <c r="A37" s="45"/>
      <c r="B37" s="6"/>
      <c r="C37" s="9"/>
      <c r="D37" s="9"/>
      <c r="E37" s="108"/>
      <c r="F37" s="10"/>
      <c r="G37" s="109"/>
      <c r="H37" s="110"/>
      <c r="I37" s="110"/>
      <c r="J37" s="111"/>
      <c r="K37" s="61"/>
      <c r="L37" s="69"/>
      <c r="M37" s="122"/>
      <c r="N37" s="122"/>
      <c r="R37" s="4"/>
      <c r="T37" s="34"/>
      <c r="U37" s="33"/>
    </row>
    <row r="38" spans="1:21" ht="15.75" thickBot="1" x14ac:dyDescent="0.3">
      <c r="A38" s="45"/>
      <c r="B38" s="6"/>
      <c r="C38" s="9"/>
      <c r="D38" s="113" t="s">
        <v>25</v>
      </c>
      <c r="E38" s="108">
        <f>+E11+E18+E27+E35</f>
        <v>670152</v>
      </c>
      <c r="F38" s="10"/>
      <c r="G38" s="109"/>
      <c r="H38" s="110"/>
      <c r="I38" s="110"/>
      <c r="J38" s="111"/>
      <c r="K38" s="61"/>
      <c r="L38" s="69"/>
      <c r="M38" s="122"/>
      <c r="N38" s="122"/>
      <c r="R38" s="4"/>
      <c r="T38" s="34"/>
      <c r="U38" s="33"/>
    </row>
    <row r="39" spans="1:21" x14ac:dyDescent="0.25">
      <c r="A39" s="70"/>
      <c r="B39" s="71"/>
      <c r="C39" s="71"/>
      <c r="D39" s="72"/>
      <c r="E39" s="90"/>
      <c r="F39" s="53"/>
      <c r="G39" s="53"/>
      <c r="H39" s="53" t="s">
        <v>20</v>
      </c>
      <c r="I39" s="53"/>
      <c r="J39" s="79">
        <f>G35+G27+G18+G11</f>
        <v>5188724</v>
      </c>
      <c r="K39" s="63"/>
      <c r="L39" s="63">
        <f>L36+L28+L12</f>
        <v>7063.0999999999985</v>
      </c>
      <c r="M39" s="123"/>
      <c r="N39" s="123"/>
    </row>
    <row r="40" spans="1:21" ht="14.45" customHeight="1" x14ac:dyDescent="0.25">
      <c r="A40" s="136" t="s">
        <v>45</v>
      </c>
      <c r="B40" s="137"/>
      <c r="C40" s="137"/>
      <c r="D40" s="137"/>
      <c r="E40" s="137"/>
      <c r="F40" s="137"/>
      <c r="G40" s="58"/>
      <c r="H40" s="20" t="s">
        <v>19</v>
      </c>
      <c r="I40" s="43"/>
      <c r="J40" s="80">
        <f>H35+H27+H18+H11</f>
        <v>0</v>
      </c>
      <c r="K40" s="64"/>
      <c r="L40" s="64"/>
      <c r="M40" s="123"/>
      <c r="N40" s="123"/>
    </row>
    <row r="41" spans="1:21" ht="15" customHeight="1" x14ac:dyDescent="0.25">
      <c r="A41" s="136"/>
      <c r="B41" s="137"/>
      <c r="C41" s="137"/>
      <c r="D41" s="137"/>
      <c r="E41" s="137"/>
      <c r="F41" s="137"/>
      <c r="G41" s="42"/>
      <c r="H41" s="57" t="s">
        <v>21</v>
      </c>
      <c r="I41" s="20"/>
      <c r="J41" s="80">
        <f>J40-J39</f>
        <v>-5188724</v>
      </c>
      <c r="K41" s="64"/>
      <c r="L41" s="64"/>
      <c r="M41" s="123"/>
      <c r="N41" s="123"/>
    </row>
    <row r="42" spans="1:21" ht="15" customHeight="1" thickBot="1" x14ac:dyDescent="0.3">
      <c r="A42" s="134"/>
      <c r="B42" s="135"/>
      <c r="C42" s="135"/>
      <c r="D42" s="135"/>
      <c r="E42" s="135"/>
      <c r="F42" s="135"/>
      <c r="G42" s="20"/>
      <c r="H42" s="20"/>
      <c r="I42" s="20" t="s">
        <v>22</v>
      </c>
      <c r="J42" s="80">
        <f>+J39-J43</f>
        <v>4669852</v>
      </c>
      <c r="K42" s="64"/>
      <c r="L42" s="64"/>
      <c r="M42" s="123"/>
      <c r="N42" s="123"/>
    </row>
    <row r="43" spans="1:21" ht="15.75" thickBot="1" x14ac:dyDescent="0.3">
      <c r="A43" s="112" t="s">
        <v>16</v>
      </c>
      <c r="B43" s="20"/>
      <c r="C43" s="21"/>
      <c r="D43" s="118">
        <v>41877</v>
      </c>
      <c r="E43" s="98"/>
      <c r="F43" s="20"/>
      <c r="G43" s="20"/>
      <c r="H43" s="20"/>
      <c r="I43" s="20" t="s">
        <v>23</v>
      </c>
      <c r="J43" s="80">
        <f>+ROUND(J39*10%,0)</f>
        <v>518872</v>
      </c>
      <c r="K43" s="64"/>
      <c r="L43" s="64"/>
      <c r="M43" s="119">
        <f>+J12+J19+J28+J36-M12-M19-M28-M36</f>
        <v>746131.4</v>
      </c>
    </row>
    <row r="44" spans="1:21" ht="15.75" thickBot="1" x14ac:dyDescent="0.3">
      <c r="A44" s="114" t="s">
        <v>29</v>
      </c>
      <c r="B44" s="49"/>
      <c r="C44" s="129" t="s">
        <v>38</v>
      </c>
      <c r="D44" s="50"/>
      <c r="E44" s="99"/>
      <c r="F44" s="49"/>
      <c r="G44" s="49"/>
      <c r="H44" s="49"/>
      <c r="I44" s="59" t="s">
        <v>24</v>
      </c>
      <c r="J44" s="81">
        <f>J36+J28+J12+J19</f>
        <v>518872.4</v>
      </c>
      <c r="K44" s="65"/>
      <c r="L44" s="65"/>
    </row>
  </sheetData>
  <mergeCells count="2">
    <mergeCell ref="A42:F42"/>
    <mergeCell ref="A40:F41"/>
  </mergeCells>
  <phoneticPr fontId="0" type="noConversion"/>
  <printOptions horizontalCentered="1"/>
  <pageMargins left="0" right="0" top="0.25" bottom="0.5" header="0.3" footer="0.25"/>
  <pageSetup scale="73" orientation="landscape" r:id="rId1"/>
  <headerFooter>
    <oddHeader>&amp;L&amp;T&amp;R&amp;D</oddHeader>
    <oddFooter>&amp;L&amp;A&amp;F&amp;R&amp;9&amp;Z&amp;F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TPEG</vt:lpstr>
      <vt:lpstr>TPEG!Print_Area</vt:lpstr>
    </vt:vector>
  </TitlesOfParts>
  <Company>University of TX @ San Antonio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</dc:creator>
  <cp:lastModifiedBy>utsa</cp:lastModifiedBy>
  <cp:lastPrinted>2013-02-19T17:19:05Z</cp:lastPrinted>
  <dcterms:created xsi:type="dcterms:W3CDTF">2009-07-26T18:36:30Z</dcterms:created>
  <dcterms:modified xsi:type="dcterms:W3CDTF">2014-08-26T23:55:10Z</dcterms:modified>
</cp:coreProperties>
</file>